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426"/>
  <workbookPr defaultThemeVersion="124226"/>
  <workbookProtection workbookAlgorithmName="SHA-512" workbookHashValue="vI/MM1i7/phJSa3bbyEb/k+0X2G3X6VbgcKYWwox93uHk4Bjm1oFem1YbXF/NwpvvMmduNKAkU/t3u5hlnez5Q==" workbookSpinCount="100000" workbookSaltValue="inNyJCbjtgAyqqN5N2U3Nw==" lockStructure="1"/>
  <bookViews>
    <workbookView xWindow="65416" yWindow="65416" windowWidth="29040" windowHeight="15840" activeTab="0"/>
  </bookViews>
  <sheets>
    <sheet name="Otto proces" sheetId="2" r:id="rId1"/>
  </sheets>
  <definedNames/>
  <calcPr calcId="191029"/>
</workbook>
</file>

<file path=xl/sharedStrings.xml><?xml version="1.0" encoding="utf-8"?>
<sst xmlns="http://schemas.openxmlformats.org/spreadsheetml/2006/main" count="69" uniqueCount="47">
  <si>
    <t>p</t>
  </si>
  <si>
    <t>K</t>
  </si>
  <si>
    <t>Epsilon</t>
  </si>
  <si>
    <t>Drukverhouding</t>
  </si>
  <si>
    <t>1 ------&gt; 2  n = k</t>
  </si>
  <si>
    <t>kg</t>
  </si>
  <si>
    <t>m</t>
  </si>
  <si>
    <t>kJ</t>
  </si>
  <si>
    <t>%</t>
  </si>
  <si>
    <t>J/(kg.K)</t>
  </si>
  <si>
    <t>Bara</t>
  </si>
  <si>
    <t>kJ/kg</t>
  </si>
  <si>
    <t>kg/injectie</t>
  </si>
  <si>
    <t>gr/injectie</t>
  </si>
  <si>
    <t xml:space="preserve">Input gegevens </t>
  </si>
  <si>
    <t>Output gegevens</t>
  </si>
  <si>
    <t>-</t>
  </si>
  <si>
    <t>v</t>
  </si>
  <si>
    <t>c</t>
  </si>
  <si>
    <t xml:space="preserve">Σ  Q </t>
  </si>
  <si>
    <t xml:space="preserve">ɳ       </t>
  </si>
  <si>
    <t>Σ W</t>
  </si>
  <si>
    <t>Brandstof</t>
  </si>
  <si>
    <r>
      <t>c</t>
    </r>
    <r>
      <rPr>
        <vertAlign val="subscript"/>
        <sz val="11"/>
        <rFont val="Calibri"/>
        <family val="2"/>
        <scheme val="minor"/>
      </rPr>
      <t>p</t>
    </r>
  </si>
  <si>
    <r>
      <t>R</t>
    </r>
    <r>
      <rPr>
        <vertAlign val="subscript"/>
        <sz val="11"/>
        <rFont val="Calibri"/>
        <family val="2"/>
        <scheme val="minor"/>
      </rPr>
      <t>s</t>
    </r>
  </si>
  <si>
    <r>
      <t>c</t>
    </r>
    <r>
      <rPr>
        <vertAlign val="subscript"/>
        <sz val="11"/>
        <rFont val="Calibri"/>
        <family val="2"/>
        <scheme val="minor"/>
      </rPr>
      <t>v</t>
    </r>
  </si>
  <si>
    <r>
      <t>p</t>
    </r>
    <r>
      <rPr>
        <vertAlign val="subscript"/>
        <sz val="11"/>
        <rFont val="Calibri"/>
        <family val="2"/>
        <scheme val="minor"/>
      </rPr>
      <t>1</t>
    </r>
  </si>
  <si>
    <r>
      <t>V</t>
    </r>
    <r>
      <rPr>
        <vertAlign val="subscript"/>
        <sz val="11"/>
        <rFont val="Calibri"/>
        <family val="2"/>
        <scheme val="minor"/>
      </rPr>
      <t>1</t>
    </r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</si>
  <si>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</si>
  <si>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T</t>
    </r>
    <r>
      <rPr>
        <vertAlign val="subscript"/>
        <sz val="11"/>
        <rFont val="Calibri"/>
        <family val="2"/>
        <scheme val="minor"/>
      </rPr>
      <t>2</t>
    </r>
  </si>
  <si>
    <r>
      <t>T</t>
    </r>
    <r>
      <rPr>
        <vertAlign val="subscript"/>
        <sz val="11"/>
        <rFont val="Calibri"/>
        <family val="2"/>
        <scheme val="minor"/>
      </rPr>
      <t>1</t>
    </r>
  </si>
  <si>
    <r>
      <t>T</t>
    </r>
    <r>
      <rPr>
        <vertAlign val="subscript"/>
        <sz val="11"/>
        <rFont val="Calibri"/>
        <family val="2"/>
        <scheme val="minor"/>
      </rPr>
      <t>3</t>
    </r>
  </si>
  <si>
    <r>
      <t>T</t>
    </r>
    <r>
      <rPr>
        <vertAlign val="subscript"/>
        <sz val="11"/>
        <rFont val="Calibri"/>
        <family val="2"/>
        <scheme val="minor"/>
      </rPr>
      <t>4</t>
    </r>
  </si>
  <si>
    <r>
      <t xml:space="preserve">Q </t>
    </r>
    <r>
      <rPr>
        <vertAlign val="subscript"/>
        <sz val="11"/>
        <rFont val="Calibri"/>
        <family val="2"/>
        <scheme val="minor"/>
      </rPr>
      <t>2 - 3</t>
    </r>
  </si>
  <si>
    <r>
      <t xml:space="preserve">Q </t>
    </r>
    <r>
      <rPr>
        <vertAlign val="subscript"/>
        <sz val="11"/>
        <rFont val="Calibri"/>
        <family val="2"/>
        <scheme val="minor"/>
      </rPr>
      <t xml:space="preserve">4 - 1 </t>
    </r>
  </si>
  <si>
    <r>
      <t>H</t>
    </r>
    <r>
      <rPr>
        <vertAlign val="subscript"/>
        <sz val="11"/>
        <rFont val="Calibri"/>
        <family val="2"/>
        <scheme val="minor"/>
      </rPr>
      <t>0</t>
    </r>
  </si>
  <si>
    <r>
      <t>m</t>
    </r>
    <r>
      <rPr>
        <vertAlign val="subscript"/>
        <sz val="11"/>
        <rFont val="Calibri"/>
        <family val="2"/>
        <scheme val="minor"/>
      </rPr>
      <t>b 2 ---&gt; 3</t>
    </r>
    <r>
      <rPr>
        <sz val="11"/>
        <rFont val="Calibri"/>
        <family val="2"/>
        <scheme val="minor"/>
      </rPr>
      <t xml:space="preserve"> </t>
    </r>
  </si>
  <si>
    <r>
      <t>W</t>
    </r>
    <r>
      <rPr>
        <vertAlign val="subscript"/>
        <sz val="11"/>
        <rFont val="Calibri"/>
        <family val="2"/>
        <scheme val="minor"/>
      </rPr>
      <t>1-2</t>
    </r>
    <r>
      <rPr>
        <sz val="11"/>
        <rFont val="Calibri"/>
        <family val="2"/>
        <scheme val="minor"/>
      </rPr>
      <t xml:space="preserve"> </t>
    </r>
  </si>
  <si>
    <r>
      <t>m</t>
    </r>
    <r>
      <rPr>
        <vertAlign val="subscript"/>
        <sz val="11"/>
        <rFont val="Calibri"/>
        <family val="2"/>
        <scheme val="minor"/>
      </rPr>
      <t>b totaal</t>
    </r>
    <r>
      <rPr>
        <sz val="11"/>
        <rFont val="Calibri"/>
        <family val="2"/>
        <scheme val="minor"/>
      </rPr>
      <t xml:space="preserve">   </t>
    </r>
  </si>
  <si>
    <r>
      <t>W</t>
    </r>
    <r>
      <rPr>
        <vertAlign val="subscript"/>
        <sz val="11"/>
        <rFont val="Calibri"/>
        <family val="2"/>
        <scheme val="minor"/>
      </rPr>
      <t>3-4</t>
    </r>
    <r>
      <rPr>
        <sz val="11"/>
        <rFont val="Calibri"/>
        <family val="2"/>
        <scheme val="minor"/>
      </rPr>
      <t xml:space="preserve"> </t>
    </r>
  </si>
  <si>
    <t>isentroop 1-2</t>
  </si>
  <si>
    <t>isochoor 2-3</t>
  </si>
  <si>
    <t>isentroop 3-4</t>
  </si>
  <si>
    <t>isochoor 4-1</t>
  </si>
  <si>
    <r>
      <t>p</t>
    </r>
    <r>
      <rPr>
        <vertAlign val="subscript"/>
        <sz val="11"/>
        <rFont val="Calibri"/>
        <family val="2"/>
        <scheme val="minor"/>
      </rPr>
      <t>2</t>
    </r>
  </si>
  <si>
    <r>
      <t>p</t>
    </r>
    <r>
      <rPr>
        <vertAlign val="subscript"/>
        <sz val="11"/>
        <rFont val="Calibri"/>
        <family val="2"/>
        <scheme val="minor"/>
      </rPr>
      <t>3</t>
    </r>
  </si>
  <si>
    <r>
      <t>p</t>
    </r>
    <r>
      <rPr>
        <vertAlign val="subscript"/>
        <sz val="1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</si>
</sst>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2" borderId="1" xfId="0" applyFont="1" applyFill="1" applyBorder="1" applyProtection="1">
      <protection hidden="1"/>
    </xf>
    <xf numFmtId="0" fontId="3" fillId="3" borderId="2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3" fillId="3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/>
      <protection hidden="1"/>
    </xf>
    <xf numFmtId="0" fontId="3" fillId="3" borderId="6" xfId="0" applyFont="1" applyFill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/>
      <protection locked="0"/>
    </xf>
    <xf numFmtId="0" fontId="3" fillId="2" borderId="8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4" borderId="10" xfId="0" applyFont="1" applyFill="1" applyBorder="1" applyAlignment="1" applyProtection="1">
      <alignment/>
      <protection hidden="1"/>
    </xf>
    <xf numFmtId="0" fontId="3" fillId="2" borderId="11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6" xfId="0" applyFont="1" applyFill="1" applyBorder="1" applyAlignment="1" applyProtection="1">
      <alignment/>
      <protection hidden="1"/>
    </xf>
    <xf numFmtId="16" fontId="3" fillId="2" borderId="6" xfId="0" applyNumberFormat="1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6" xfId="0" applyFont="1" applyFill="1" applyBorder="1" applyProtection="1"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3" fillId="4" borderId="12" xfId="0" applyFont="1" applyFill="1" applyBorder="1" applyProtection="1">
      <protection hidden="1"/>
    </xf>
    <xf numFmtId="0" fontId="3" fillId="4" borderId="13" xfId="0" applyFont="1" applyFill="1" applyBorder="1" applyAlignment="1" applyProtection="1">
      <alignment/>
      <protection hidden="1"/>
    </xf>
    <xf numFmtId="0" fontId="3" fillId="4" borderId="14" xfId="0" applyFont="1" applyFill="1" applyBorder="1" applyAlignment="1" applyProtection="1">
      <alignment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" fillId="5" borderId="16" xfId="0" applyFont="1" applyFill="1" applyBorder="1" applyAlignment="1" applyProtection="1">
      <alignment horizontal="center"/>
      <protection hidden="1"/>
    </xf>
    <xf numFmtId="0" fontId="3" fillId="5" borderId="17" xfId="0" applyFont="1" applyFill="1" applyBorder="1" applyAlignment="1" applyProtection="1">
      <alignment horizontal="center"/>
      <protection hidden="1"/>
    </xf>
    <xf numFmtId="0" fontId="3" fillId="5" borderId="18" xfId="0" applyFont="1" applyFill="1" applyBorder="1" applyAlignment="1" applyProtection="1">
      <alignment horizontal="center"/>
      <protection hidden="1"/>
    </xf>
    <xf numFmtId="0" fontId="3" fillId="5" borderId="19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Otto proces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'Otto proces'!$K$2</c:f>
              <c:strCache>
                <c:ptCount val="1"/>
                <c:pt idx="0">
                  <c:v>isentroop 1-2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'Otto proces'!$L$4:$L$54</c:f>
              <c:numCache/>
            </c:numRef>
          </c:xVal>
          <c:yVal>
            <c:numRef>
              <c:f>'Otto proces'!$K$4:$K$54</c:f>
              <c:numCache/>
            </c:numRef>
          </c:yVal>
          <c:smooth val="1"/>
        </c:ser>
        <c:ser>
          <c:idx val="1"/>
          <c:order val="1"/>
          <c:tx>
            <c:strRef>
              <c:f>'Otto proces'!$O$2</c:f>
              <c:strCache>
                <c:ptCount val="1"/>
                <c:pt idx="0">
                  <c:v>isochoor 2-3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'Otto proces'!$P$4:$P$5</c:f>
              <c:numCache/>
            </c:numRef>
          </c:xVal>
          <c:yVal>
            <c:numRef>
              <c:f>'Otto proces'!$O$4:$O$5</c:f>
              <c:numCache/>
            </c:numRef>
          </c:yVal>
          <c:smooth val="1"/>
        </c:ser>
        <c:ser>
          <c:idx val="3"/>
          <c:order val="2"/>
          <c:tx>
            <c:strRef>
              <c:f>'Otto proces'!$R$2</c:f>
              <c:strCache>
                <c:ptCount val="1"/>
                <c:pt idx="0">
                  <c:v>isentroop 3-4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'Otto proces'!$S$4:$S$54</c:f>
              <c:numCache/>
            </c:numRef>
          </c:xVal>
          <c:yVal>
            <c:numRef>
              <c:f>'Otto proces'!$R$4:$R$54</c:f>
              <c:numCache/>
            </c:numRef>
          </c:yVal>
          <c:smooth val="1"/>
        </c:ser>
        <c:ser>
          <c:idx val="4"/>
          <c:order val="3"/>
          <c:tx>
            <c:strRef>
              <c:f>'Otto proces'!$V$2</c:f>
              <c:strCache>
                <c:ptCount val="1"/>
                <c:pt idx="0">
                  <c:v>isochoor 4-1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'Otto proces'!$W$4:$W$5</c:f>
              <c:numCache/>
            </c:numRef>
          </c:xVal>
          <c:yVal>
            <c:numRef>
              <c:f>'Otto proces'!$V$4:$V$5</c:f>
              <c:numCache/>
            </c:numRef>
          </c:yVal>
          <c:smooth val="1"/>
        </c:ser>
        <c:ser>
          <c:idx val="2"/>
          <c:order val="4"/>
          <c:tx>
            <c:v>1</c:v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'Otto proces'!$L$4</c:f>
              <c:numCache/>
            </c:numRef>
          </c:xVal>
          <c:yVal>
            <c:numRef>
              <c:f>'Otto proces'!$K$4</c:f>
              <c:numCache/>
            </c:numRef>
          </c:yVal>
          <c:smooth val="1"/>
        </c:ser>
        <c:ser>
          <c:idx val="5"/>
          <c:order val="5"/>
          <c:tx>
            <c:v>2</c:v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'Otto proces'!$L$54</c:f>
              <c:numCache/>
            </c:numRef>
          </c:xVal>
          <c:yVal>
            <c:numRef>
              <c:f>'Otto proces'!$K$54</c:f>
              <c:numCache/>
            </c:numRef>
          </c:yVal>
          <c:smooth val="1"/>
        </c:ser>
        <c:ser>
          <c:idx val="6"/>
          <c:order val="6"/>
          <c:tx>
            <c:v>3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'Otto proces'!$P$5</c:f>
              <c:numCache/>
            </c:numRef>
          </c:xVal>
          <c:yVal>
            <c:numRef>
              <c:f>'Otto proces'!$O$5</c:f>
              <c:numCache/>
            </c:numRef>
          </c:yVal>
          <c:smooth val="1"/>
        </c:ser>
        <c:ser>
          <c:idx val="7"/>
          <c:order val="7"/>
          <c:tx>
            <c:v>4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'Otto proces'!$S$54</c:f>
              <c:numCache/>
            </c:numRef>
          </c:xVal>
          <c:yVal>
            <c:numRef>
              <c:f>'Otto proces'!$R$54</c:f>
              <c:numCache/>
            </c:numRef>
          </c:yVal>
          <c:smooth val="1"/>
        </c:ser>
        <c:axId val="32990660"/>
        <c:axId val="28480485"/>
      </c:scatterChart>
      <c:valAx>
        <c:axId val="3299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V (m</a:t>
                </a:r>
                <a:r>
                  <a:rPr lang="en-US" cap="none" sz="1000" b="0" i="0" u="none" baseline="30000">
                    <a:latin typeface="Calibri"/>
                    <a:ea typeface="Calibri"/>
                    <a:cs typeface="Calibri"/>
                  </a:rPr>
                  <a:t>3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480485"/>
        <c:crosses val="autoZero"/>
        <c:crossBetween val="midCat"/>
        <c:dispUnits/>
      </c:valAx>
      <c:valAx>
        <c:axId val="2848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 (bara)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9906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nl-N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171450</xdr:rowOff>
    </xdr:from>
    <xdr:to>
      <xdr:col>21</xdr:col>
      <xdr:colOff>142875</xdr:colOff>
      <xdr:row>22</xdr:row>
      <xdr:rowOff>95250</xdr:rowOff>
    </xdr:to>
    <xdr:graphicFrame macro="">
      <xdr:nvGraphicFramePr>
        <xdr:cNvPr id="2" name="Grafiek 1" title="1"/>
        <xdr:cNvGraphicFramePr/>
      </xdr:nvGraphicFramePr>
      <xdr:xfrm>
        <a:off x="6962775" y="171450"/>
        <a:ext cx="6829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15</xdr:row>
      <xdr:rowOff>47625</xdr:rowOff>
    </xdr:from>
    <xdr:to>
      <xdr:col>3</xdr:col>
      <xdr:colOff>638175</xdr:colOff>
      <xdr:row>17</xdr:row>
      <xdr:rowOff>142875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151"/>
        <a:stretch>
          <a:fillRect/>
        </a:stretch>
      </xdr:blipFill>
      <xdr:spPr>
        <a:xfrm>
          <a:off x="704850" y="3409950"/>
          <a:ext cx="2181225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W75"/>
  <sheetViews>
    <sheetView tabSelected="1" workbookViewId="0" topLeftCell="A1">
      <selection activeCell="C12" sqref="C12"/>
    </sheetView>
  </sheetViews>
  <sheetFormatPr defaultColWidth="9.140625" defaultRowHeight="15"/>
  <cols>
    <col min="1" max="1" width="9.140625" style="2" customWidth="1"/>
    <col min="2" max="2" width="15.421875" style="2" bestFit="1" customWidth="1"/>
    <col min="3" max="3" width="9.140625" style="2" customWidth="1"/>
    <col min="4" max="4" width="10.57421875" style="2" bestFit="1" customWidth="1"/>
    <col min="5" max="5" width="9.140625" style="2" customWidth="1"/>
    <col min="6" max="6" width="14.140625" style="2" bestFit="1" customWidth="1"/>
    <col min="7" max="10" width="9.140625" style="2" customWidth="1"/>
    <col min="11" max="23" width="9.140625" style="1" customWidth="1"/>
    <col min="24" max="16384" width="9.140625" style="2" customWidth="1"/>
  </cols>
  <sheetData>
    <row r="1" ht="15.75" thickBot="1"/>
    <row r="2" spans="2:23" ht="15.75" thickBot="1">
      <c r="B2" s="32" t="s">
        <v>14</v>
      </c>
      <c r="C2" s="33"/>
      <c r="D2" s="34"/>
      <c r="F2" s="35" t="s">
        <v>15</v>
      </c>
      <c r="G2" s="36"/>
      <c r="H2" s="37"/>
      <c r="K2" s="31" t="s">
        <v>40</v>
      </c>
      <c r="L2" s="31"/>
      <c r="M2" s="31"/>
      <c r="O2" s="31" t="s">
        <v>41</v>
      </c>
      <c r="P2" s="31"/>
      <c r="R2" s="31" t="s">
        <v>42</v>
      </c>
      <c r="S2" s="31"/>
      <c r="T2" s="31"/>
      <c r="V2" s="31" t="s">
        <v>43</v>
      </c>
      <c r="W2" s="31"/>
    </row>
    <row r="3" spans="2:23" ht="18">
      <c r="B3" s="3" t="s">
        <v>23</v>
      </c>
      <c r="C3" s="4">
        <v>1006</v>
      </c>
      <c r="D3" s="5" t="s">
        <v>9</v>
      </c>
      <c r="F3" s="19" t="s">
        <v>24</v>
      </c>
      <c r="G3" s="25">
        <f>C3-C4</f>
        <v>289</v>
      </c>
      <c r="H3" s="28" t="s">
        <v>9</v>
      </c>
      <c r="K3" s="1" t="s">
        <v>0</v>
      </c>
      <c r="L3" s="1" t="s">
        <v>17</v>
      </c>
      <c r="M3" s="1" t="s">
        <v>18</v>
      </c>
      <c r="O3" s="1" t="s">
        <v>0</v>
      </c>
      <c r="P3" s="1" t="s">
        <v>17</v>
      </c>
      <c r="R3" s="1" t="s">
        <v>0</v>
      </c>
      <c r="S3" s="1" t="s">
        <v>17</v>
      </c>
      <c r="T3" s="1" t="s">
        <v>18</v>
      </c>
      <c r="V3" s="1" t="s">
        <v>0</v>
      </c>
      <c r="W3" s="1" t="s">
        <v>17</v>
      </c>
    </row>
    <row r="4" spans="2:23" ht="18">
      <c r="B4" s="7" t="s">
        <v>25</v>
      </c>
      <c r="C4" s="8">
        <v>717</v>
      </c>
      <c r="D4" s="9" t="s">
        <v>9</v>
      </c>
      <c r="F4" s="20" t="s">
        <v>6</v>
      </c>
      <c r="G4" s="26">
        <f>C5*10^5*C6/(C7*G3)</f>
        <v>0.31253488112512556</v>
      </c>
      <c r="H4" s="29" t="s">
        <v>5</v>
      </c>
      <c r="K4" s="1">
        <f>C5</f>
        <v>1.4</v>
      </c>
      <c r="L4" s="1">
        <f>C6</f>
        <v>0.2</v>
      </c>
      <c r="M4" s="1">
        <f>K4*L4^$G$5</f>
        <v>0.14636099449419038</v>
      </c>
      <c r="O4" s="1">
        <f>K54</f>
        <v>30.54889386587373</v>
      </c>
      <c r="P4" s="1">
        <f>L54</f>
        <v>0.022222222222222223</v>
      </c>
      <c r="R4" s="1">
        <f>O5</f>
        <v>45.82334079881059</v>
      </c>
      <c r="S4" s="1">
        <f>P5</f>
        <v>0.022222222222222223</v>
      </c>
      <c r="T4" s="1">
        <f>R4*S4^$G$5</f>
        <v>0.21954149174128573</v>
      </c>
      <c r="V4" s="1">
        <f>R54</f>
        <v>2.0999999999999996</v>
      </c>
      <c r="W4" s="1">
        <f>S54</f>
        <v>0.2</v>
      </c>
    </row>
    <row r="5" spans="2:23" ht="18">
      <c r="B5" s="7" t="s">
        <v>26</v>
      </c>
      <c r="C5" s="11">
        <v>1.4</v>
      </c>
      <c r="D5" s="9" t="s">
        <v>10</v>
      </c>
      <c r="F5" s="21" t="s">
        <v>4</v>
      </c>
      <c r="G5" s="26">
        <f>C3/C4</f>
        <v>1.403068340306834</v>
      </c>
      <c r="H5" s="29" t="s">
        <v>16</v>
      </c>
      <c r="K5" s="1">
        <f>$M$4/(L5^$G$5)</f>
        <v>1.4356820845872886</v>
      </c>
      <c r="L5" s="1">
        <f>(($L$54-$L$4)/50)+L4</f>
        <v>0.19644444444444445</v>
      </c>
      <c r="M5" s="1">
        <f aca="true" t="shared" si="0" ref="M5:M53">K5*L5^$G$5</f>
        <v>0.14636099449419038</v>
      </c>
      <c r="O5" s="1">
        <f>O4*C9</f>
        <v>45.82334079881059</v>
      </c>
      <c r="P5" s="1">
        <f>P4</f>
        <v>0.022222222222222223</v>
      </c>
      <c r="R5" s="1">
        <f aca="true" t="shared" si="1" ref="R5:R36">$T$4/(S5^$G$5)</f>
        <v>37.20898169254257</v>
      </c>
      <c r="S5" s="1">
        <f aca="true" t="shared" si="2" ref="S5:S36">(($S$54-$S$4)/50)+S4</f>
        <v>0.025777777777777778</v>
      </c>
      <c r="T5" s="1">
        <f aca="true" t="shared" si="3" ref="T5:T53">R5*S5^$G$5</f>
        <v>0.2195414917412857</v>
      </c>
      <c r="V5" s="1">
        <f>C5</f>
        <v>1.4</v>
      </c>
      <c r="W5" s="1">
        <f>W4</f>
        <v>0.2</v>
      </c>
    </row>
    <row r="6" spans="2:20" ht="18">
      <c r="B6" s="7" t="s">
        <v>27</v>
      </c>
      <c r="C6" s="12">
        <v>0.2</v>
      </c>
      <c r="D6" s="9" t="s">
        <v>28</v>
      </c>
      <c r="F6" s="22" t="s">
        <v>29</v>
      </c>
      <c r="G6" s="26">
        <f>(K54*L54*C7)/(C5*C6)</f>
        <v>751.5997697159411</v>
      </c>
      <c r="H6" s="29" t="s">
        <v>1</v>
      </c>
      <c r="K6" s="1">
        <f aca="true" t="shared" si="4" ref="K6:K53">$M$4/(L6^$G$5)</f>
        <v>1.4729505824798554</v>
      </c>
      <c r="L6" s="1">
        <f aca="true" t="shared" si="5" ref="L6:L53">(($L$54-$L$4)/50)+L5</f>
        <v>0.1928888888888889</v>
      </c>
      <c r="M6" s="1">
        <f t="shared" si="0"/>
        <v>0.14636099449419038</v>
      </c>
      <c r="R6" s="1">
        <f t="shared" si="1"/>
        <v>31.03939753600421</v>
      </c>
      <c r="S6" s="1">
        <f t="shared" si="2"/>
        <v>0.029333333333333333</v>
      </c>
      <c r="T6" s="1">
        <f t="shared" si="3"/>
        <v>0.21954149174128573</v>
      </c>
    </row>
    <row r="7" spans="2:20" ht="18">
      <c r="B7" s="7" t="s">
        <v>30</v>
      </c>
      <c r="C7" s="12">
        <v>310</v>
      </c>
      <c r="D7" s="9" t="s">
        <v>1</v>
      </c>
      <c r="F7" s="22" t="s">
        <v>31</v>
      </c>
      <c r="G7" s="26">
        <f>G6*C9</f>
        <v>1127.3996545739117</v>
      </c>
      <c r="H7" s="29" t="s">
        <v>1</v>
      </c>
      <c r="K7" s="1">
        <f t="shared" si="4"/>
        <v>1.511907257184848</v>
      </c>
      <c r="L7" s="1">
        <f t="shared" si="5"/>
        <v>0.18933333333333333</v>
      </c>
      <c r="M7" s="1">
        <f t="shared" si="0"/>
        <v>0.14636099449419038</v>
      </c>
      <c r="R7" s="1">
        <f t="shared" si="1"/>
        <v>26.436132886158106</v>
      </c>
      <c r="S7" s="1">
        <f t="shared" si="2"/>
        <v>0.03288888888888889</v>
      </c>
      <c r="T7" s="1">
        <f t="shared" si="3"/>
        <v>0.21954149174128573</v>
      </c>
    </row>
    <row r="8" spans="2:20" ht="18">
      <c r="B8" s="7" t="s">
        <v>2</v>
      </c>
      <c r="C8" s="8">
        <v>9</v>
      </c>
      <c r="D8" s="9" t="s">
        <v>16</v>
      </c>
      <c r="F8" s="22" t="s">
        <v>32</v>
      </c>
      <c r="G8" s="26">
        <f>G7/(C8^(G5-1))</f>
        <v>465.00000000000017</v>
      </c>
      <c r="H8" s="29" t="s">
        <v>1</v>
      </c>
      <c r="K8" s="1">
        <f t="shared" si="4"/>
        <v>1.5526624803952462</v>
      </c>
      <c r="L8" s="1">
        <f t="shared" si="5"/>
        <v>0.18577777777777776</v>
      </c>
      <c r="M8" s="1">
        <f t="shared" si="0"/>
        <v>0.14636099449419038</v>
      </c>
      <c r="R8" s="1">
        <f t="shared" si="1"/>
        <v>22.890018696111035</v>
      </c>
      <c r="S8" s="1">
        <f t="shared" si="2"/>
        <v>0.036444444444444446</v>
      </c>
      <c r="T8" s="1">
        <f t="shared" si="3"/>
        <v>0.21954149174128573</v>
      </c>
    </row>
    <row r="9" spans="2:20" ht="18">
      <c r="B9" s="7" t="s">
        <v>3</v>
      </c>
      <c r="C9" s="8">
        <v>1.5</v>
      </c>
      <c r="D9" s="9" t="s">
        <v>16</v>
      </c>
      <c r="F9" s="20" t="s">
        <v>44</v>
      </c>
      <c r="G9" s="26">
        <f>O4</f>
        <v>30.54889386587373</v>
      </c>
      <c r="H9" s="29" t="s">
        <v>10</v>
      </c>
      <c r="K9" s="1">
        <f t="shared" si="4"/>
        <v>1.5953361430254385</v>
      </c>
      <c r="L9" s="1">
        <f t="shared" si="5"/>
        <v>0.1822222222222222</v>
      </c>
      <c r="M9" s="1">
        <f t="shared" si="0"/>
        <v>0.14636099449419038</v>
      </c>
      <c r="R9" s="1">
        <f t="shared" si="1"/>
        <v>20.087319098646205</v>
      </c>
      <c r="S9" s="1">
        <f t="shared" si="2"/>
        <v>0.04</v>
      </c>
      <c r="T9" s="1">
        <f t="shared" si="3"/>
        <v>0.21954149174128573</v>
      </c>
    </row>
    <row r="10" spans="6:20" ht="18.75" thickBot="1">
      <c r="F10" s="20" t="s">
        <v>45</v>
      </c>
      <c r="G10" s="26">
        <f>O5</f>
        <v>45.82334079881059</v>
      </c>
      <c r="H10" s="29" t="s">
        <v>10</v>
      </c>
      <c r="K10" s="1">
        <f t="shared" si="4"/>
        <v>1.6400586827913881</v>
      </c>
      <c r="L10" s="1">
        <f t="shared" si="5"/>
        <v>0.17866666666666664</v>
      </c>
      <c r="M10" s="1">
        <f t="shared" si="0"/>
        <v>0.14636099449419038</v>
      </c>
      <c r="R10" s="1">
        <f t="shared" si="1"/>
        <v>17.825080823058027</v>
      </c>
      <c r="S10" s="1">
        <f t="shared" si="2"/>
        <v>0.043555555555555556</v>
      </c>
      <c r="T10" s="1">
        <f t="shared" si="3"/>
        <v>0.21954149174128573</v>
      </c>
    </row>
    <row r="11" spans="2:20" ht="18.75" thickBot="1">
      <c r="B11" s="32" t="s">
        <v>22</v>
      </c>
      <c r="C11" s="33"/>
      <c r="D11" s="34"/>
      <c r="F11" s="20" t="s">
        <v>46</v>
      </c>
      <c r="G11" s="26">
        <f>V4</f>
        <v>2.0999999999999996</v>
      </c>
      <c r="H11" s="29" t="s">
        <v>10</v>
      </c>
      <c r="K11" s="1">
        <f t="shared" si="4"/>
        <v>1.6869722459239975</v>
      </c>
      <c r="L11" s="1">
        <f t="shared" si="5"/>
        <v>0.17511111111111108</v>
      </c>
      <c r="M11" s="1">
        <f t="shared" si="0"/>
        <v>0.14636099449419038</v>
      </c>
      <c r="R11" s="1">
        <f t="shared" si="1"/>
        <v>15.96670252074356</v>
      </c>
      <c r="S11" s="1">
        <f t="shared" si="2"/>
        <v>0.04711111111111111</v>
      </c>
      <c r="T11" s="1">
        <f t="shared" si="3"/>
        <v>0.21954149174128573</v>
      </c>
    </row>
    <row r="12" spans="2:20" ht="18">
      <c r="B12" s="6" t="s">
        <v>35</v>
      </c>
      <c r="C12" s="13">
        <v>34000</v>
      </c>
      <c r="D12" s="14" t="s">
        <v>11</v>
      </c>
      <c r="F12" s="22" t="s">
        <v>33</v>
      </c>
      <c r="G12" s="26">
        <f>G4*C4/1000*(G7-G6)</f>
        <v>84.21206036844086</v>
      </c>
      <c r="H12" s="29" t="s">
        <v>7</v>
      </c>
      <c r="K12" s="1">
        <f t="shared" si="4"/>
        <v>1.7362320036798713</v>
      </c>
      <c r="L12" s="1">
        <f t="shared" si="5"/>
        <v>0.17155555555555552</v>
      </c>
      <c r="M12" s="1">
        <f t="shared" si="0"/>
        <v>0.14636099449419038</v>
      </c>
      <c r="R12" s="1">
        <f t="shared" si="1"/>
        <v>14.417159294596754</v>
      </c>
      <c r="S12" s="1">
        <f t="shared" si="2"/>
        <v>0.050666666666666665</v>
      </c>
      <c r="T12" s="1">
        <f t="shared" si="3"/>
        <v>0.21954149174128573</v>
      </c>
    </row>
    <row r="13" spans="2:20" ht="18">
      <c r="B13" s="7" t="s">
        <v>36</v>
      </c>
      <c r="C13" s="10">
        <f>G12/C12</f>
        <v>0.002476825304954143</v>
      </c>
      <c r="D13" s="15" t="s">
        <v>12</v>
      </c>
      <c r="F13" s="22" t="s">
        <v>34</v>
      </c>
      <c r="G13" s="26">
        <f>G4*C4/1000*(C7-G8)</f>
        <v>-34.73356401384086</v>
      </c>
      <c r="H13" s="29" t="s">
        <v>7</v>
      </c>
      <c r="K13" s="1">
        <f t="shared" si="4"/>
        <v>1.7880076480039622</v>
      </c>
      <c r="L13" s="1">
        <f t="shared" si="5"/>
        <v>0.16799999999999995</v>
      </c>
      <c r="M13" s="1">
        <f t="shared" si="0"/>
        <v>0.14636099449419038</v>
      </c>
      <c r="R13" s="1">
        <f t="shared" si="1"/>
        <v>13.108480368928925</v>
      </c>
      <c r="S13" s="1">
        <f t="shared" si="2"/>
        <v>0.05422222222222222</v>
      </c>
      <c r="T13" s="1">
        <f t="shared" si="3"/>
        <v>0.21954149174128573</v>
      </c>
    </row>
    <row r="14" spans="2:20" ht="18.75" thickBot="1">
      <c r="B14" s="16" t="s">
        <v>38</v>
      </c>
      <c r="C14" s="17">
        <f>SUM(C13:C13)*1000</f>
        <v>2.4768253049541427</v>
      </c>
      <c r="D14" s="18" t="s">
        <v>13</v>
      </c>
      <c r="F14" s="23" t="s">
        <v>19</v>
      </c>
      <c r="G14" s="26">
        <f>SUM(G12:G13)</f>
        <v>49.4784963546</v>
      </c>
      <c r="H14" s="29" t="s">
        <v>7</v>
      </c>
      <c r="K14" s="1">
        <f t="shared" si="4"/>
        <v>1.842485095142225</v>
      </c>
      <c r="L14" s="1">
        <f t="shared" si="5"/>
        <v>0.1644444444444444</v>
      </c>
      <c r="M14" s="1">
        <f t="shared" si="0"/>
        <v>0.14636099449419038</v>
      </c>
      <c r="R14" s="1">
        <f t="shared" si="1"/>
        <v>11.990872416651783</v>
      </c>
      <c r="S14" s="1">
        <f t="shared" si="2"/>
        <v>0.057777777777777775</v>
      </c>
      <c r="T14" s="1">
        <f t="shared" si="3"/>
        <v>0.21954149174128573</v>
      </c>
    </row>
    <row r="15" spans="6:20" ht="15">
      <c r="F15" s="23" t="s">
        <v>20</v>
      </c>
      <c r="G15" s="26">
        <f>G14/G12*100</f>
        <v>58.75464409506653</v>
      </c>
      <c r="H15" s="29" t="s">
        <v>8</v>
      </c>
      <c r="K15" s="1">
        <f t="shared" si="4"/>
        <v>1.8998684313734824</v>
      </c>
      <c r="L15" s="1">
        <f t="shared" si="5"/>
        <v>0.16088888888888883</v>
      </c>
      <c r="M15" s="1">
        <f t="shared" si="0"/>
        <v>0.14636099449419038</v>
      </c>
      <c r="R15" s="1">
        <f t="shared" si="1"/>
        <v>11.02709648800996</v>
      </c>
      <c r="S15" s="1">
        <f t="shared" si="2"/>
        <v>0.06133333333333333</v>
      </c>
      <c r="T15" s="1">
        <f t="shared" si="3"/>
        <v>0.21954149174128573</v>
      </c>
    </row>
    <row r="16" spans="6:20" ht="18">
      <c r="F16" s="22" t="s">
        <v>37</v>
      </c>
      <c r="G16" s="26">
        <f>(-1/(G5-1)*(K54*10^5*L54-K4*10^5*L4))/1000</f>
        <v>-98.95699270920004</v>
      </c>
      <c r="H16" s="29" t="s">
        <v>7</v>
      </c>
      <c r="K16" s="1">
        <f t="shared" si="4"/>
        <v>1.960382141547134</v>
      </c>
      <c r="L16" s="1">
        <f t="shared" si="5"/>
        <v>0.15733333333333327</v>
      </c>
      <c r="M16" s="1">
        <f t="shared" si="0"/>
        <v>0.14636099449419038</v>
      </c>
      <c r="R16" s="1">
        <f t="shared" si="1"/>
        <v>10.188794517936307</v>
      </c>
      <c r="S16" s="1">
        <f t="shared" si="2"/>
        <v>0.06488888888888888</v>
      </c>
      <c r="T16" s="1">
        <f t="shared" si="3"/>
        <v>0.21954149174128573</v>
      </c>
    </row>
    <row r="17" spans="6:20" ht="18">
      <c r="F17" s="22" t="s">
        <v>39</v>
      </c>
      <c r="G17" s="26">
        <f>(-1/(G5-1)*(V4*10^5*W4-R4*10^5*S4))/1000</f>
        <v>148.43548906380005</v>
      </c>
      <c r="H17" s="29" t="s">
        <v>7</v>
      </c>
      <c r="K17" s="1">
        <f t="shared" si="4"/>
        <v>2.0242736690541703</v>
      </c>
      <c r="L17" s="1">
        <f t="shared" si="5"/>
        <v>0.1537777777777777</v>
      </c>
      <c r="M17" s="1">
        <f t="shared" si="0"/>
        <v>0.14636099449419038</v>
      </c>
      <c r="R17" s="1">
        <f t="shared" si="1"/>
        <v>9.454024114900575</v>
      </c>
      <c r="S17" s="1">
        <f t="shared" si="2"/>
        <v>0.06844444444444445</v>
      </c>
      <c r="T17" s="1">
        <f t="shared" si="3"/>
        <v>0.21954149174128573</v>
      </c>
    </row>
    <row r="18" spans="6:20" ht="15.75" thickBot="1">
      <c r="F18" s="24" t="s">
        <v>21</v>
      </c>
      <c r="G18" s="27">
        <f>SUM(G16:G17)</f>
        <v>49.47849635460001</v>
      </c>
      <c r="H18" s="30" t="s">
        <v>7</v>
      </c>
      <c r="K18" s="1">
        <f t="shared" si="4"/>
        <v>2.0918163655751676</v>
      </c>
      <c r="L18" s="1">
        <f t="shared" si="5"/>
        <v>0.15022222222222215</v>
      </c>
      <c r="M18" s="1">
        <f t="shared" si="0"/>
        <v>0.14636099449419038</v>
      </c>
      <c r="R18" s="1">
        <f t="shared" si="1"/>
        <v>8.805564621366708</v>
      </c>
      <c r="S18" s="1">
        <f t="shared" si="2"/>
        <v>0.07200000000000001</v>
      </c>
      <c r="T18" s="1">
        <f t="shared" si="3"/>
        <v>0.21954149174128573</v>
      </c>
    </row>
    <row r="19" spans="11:20" ht="15">
      <c r="K19" s="1">
        <f t="shared" si="4"/>
        <v>2.1633129008905225</v>
      </c>
      <c r="L19" s="1">
        <f t="shared" si="5"/>
        <v>0.14666666666666658</v>
      </c>
      <c r="M19" s="1">
        <f t="shared" si="0"/>
        <v>0.14636099449419038</v>
      </c>
      <c r="R19" s="1">
        <f t="shared" si="1"/>
        <v>8.229728474480781</v>
      </c>
      <c r="S19" s="1">
        <f t="shared" si="2"/>
        <v>0.07555555555555557</v>
      </c>
      <c r="T19" s="1">
        <f t="shared" si="3"/>
        <v>0.21954149174128573</v>
      </c>
    </row>
    <row r="20" spans="11:20" ht="15">
      <c r="K20" s="1">
        <f t="shared" si="4"/>
        <v>2.2390992177829507</v>
      </c>
      <c r="L20" s="1">
        <f t="shared" si="5"/>
        <v>0.14311111111111102</v>
      </c>
      <c r="M20" s="1">
        <f t="shared" si="0"/>
        <v>0.14636099449419038</v>
      </c>
      <c r="R20" s="1">
        <f t="shared" si="1"/>
        <v>7.715511364441615</v>
      </c>
      <c r="S20" s="1">
        <f t="shared" si="2"/>
        <v>0.07911111111111113</v>
      </c>
      <c r="T20" s="1">
        <f t="shared" si="3"/>
        <v>0.21954149174128573</v>
      </c>
    </row>
    <row r="21" spans="11:20" ht="15">
      <c r="K21" s="1">
        <f t="shared" si="4"/>
        <v>2.31954913535698</v>
      </c>
      <c r="L21" s="1">
        <f t="shared" si="5"/>
        <v>0.13955555555555546</v>
      </c>
      <c r="M21" s="1">
        <f t="shared" si="0"/>
        <v>0.14636099449419038</v>
      </c>
      <c r="R21" s="1">
        <f t="shared" si="1"/>
        <v>7.253974306309775</v>
      </c>
      <c r="S21" s="1">
        <f t="shared" si="2"/>
        <v>0.0826666666666667</v>
      </c>
      <c r="T21" s="1">
        <f t="shared" si="3"/>
        <v>0.21954149174128573</v>
      </c>
    </row>
    <row r="22" spans="11:20" ht="15">
      <c r="K22" s="1">
        <f t="shared" si="4"/>
        <v>2.4050797269150834</v>
      </c>
      <c r="L22" s="1">
        <f t="shared" si="5"/>
        <v>0.1359999999999999</v>
      </c>
      <c r="M22" s="1">
        <f t="shared" si="0"/>
        <v>0.14636099449419038</v>
      </c>
      <c r="R22" s="1">
        <f t="shared" si="1"/>
        <v>6.8377874493812</v>
      </c>
      <c r="S22" s="1">
        <f t="shared" si="2"/>
        <v>0.08622222222222226</v>
      </c>
      <c r="T22" s="1">
        <f t="shared" si="3"/>
        <v>0.21954149174128573</v>
      </c>
    </row>
    <row r="23" spans="11:20" ht="15">
      <c r="K23" s="1">
        <f t="shared" si="4"/>
        <v>2.496157627134297</v>
      </c>
      <c r="L23" s="1">
        <f t="shared" si="5"/>
        <v>0.13244444444444434</v>
      </c>
      <c r="M23" s="1">
        <f t="shared" si="0"/>
        <v>0.14636099449419038</v>
      </c>
      <c r="R23" s="1">
        <f t="shared" si="1"/>
        <v>6.460888603816171</v>
      </c>
      <c r="S23" s="1">
        <f t="shared" si="2"/>
        <v>0.08977777777777782</v>
      </c>
      <c r="T23" s="1">
        <f t="shared" si="3"/>
        <v>0.21954149174128573</v>
      </c>
    </row>
    <row r="24" spans="11:20" ht="15">
      <c r="K24" s="1">
        <f t="shared" si="4"/>
        <v>2.5933064593507877</v>
      </c>
      <c r="L24" s="1">
        <f t="shared" si="5"/>
        <v>0.12888888888888878</v>
      </c>
      <c r="M24" s="1">
        <f t="shared" si="0"/>
        <v>0.14636099449419038</v>
      </c>
      <c r="R24" s="1">
        <f t="shared" si="1"/>
        <v>6.118224393434901</v>
      </c>
      <c r="S24" s="1">
        <f t="shared" si="2"/>
        <v>0.09333333333333338</v>
      </c>
      <c r="T24" s="1">
        <f t="shared" si="3"/>
        <v>0.21954149174128573</v>
      </c>
    </row>
    <row r="25" spans="11:20" ht="15">
      <c r="K25" s="1">
        <f t="shared" si="4"/>
        <v>2.6971156194964965</v>
      </c>
      <c r="L25" s="1">
        <f t="shared" si="5"/>
        <v>0.1253333333333332</v>
      </c>
      <c r="M25" s="1">
        <f t="shared" si="0"/>
        <v>0.14636099449419038</v>
      </c>
      <c r="R25" s="1">
        <f t="shared" si="1"/>
        <v>5.805551761948929</v>
      </c>
      <c r="S25" s="1">
        <f t="shared" si="2"/>
        <v>0.09688888888888894</v>
      </c>
      <c r="T25" s="1">
        <f t="shared" si="3"/>
        <v>0.21954149174128573</v>
      </c>
    </row>
    <row r="26" spans="11:20" ht="15">
      <c r="K26" s="1">
        <f t="shared" si="4"/>
        <v>2.808250711596196</v>
      </c>
      <c r="L26" s="1">
        <f t="shared" si="5"/>
        <v>0.12177777777777765</v>
      </c>
      <c r="M26" s="1">
        <f t="shared" si="0"/>
        <v>0.14636099449419038</v>
      </c>
      <c r="R26" s="1">
        <f t="shared" si="1"/>
        <v>5.5192841350406185</v>
      </c>
      <c r="S26" s="1">
        <f t="shared" si="2"/>
        <v>0.1004444444444445</v>
      </c>
      <c r="T26" s="1">
        <f t="shared" si="3"/>
        <v>0.21954149174128576</v>
      </c>
    </row>
    <row r="27" spans="11:20" ht="15">
      <c r="K27" s="1">
        <f t="shared" si="4"/>
        <v>2.9274660046989025</v>
      </c>
      <c r="L27" s="1">
        <f t="shared" si="5"/>
        <v>0.11822222222222209</v>
      </c>
      <c r="M27" s="1">
        <f t="shared" si="0"/>
        <v>0.14636099449419038</v>
      </c>
      <c r="R27" s="1">
        <f t="shared" si="1"/>
        <v>5.256371017599199</v>
      </c>
      <c r="S27" s="1">
        <f t="shared" si="2"/>
        <v>0.10400000000000006</v>
      </c>
      <c r="T27" s="1">
        <f t="shared" si="3"/>
        <v>0.21954149174128573</v>
      </c>
    </row>
    <row r="28" spans="11:20" ht="15">
      <c r="K28" s="1">
        <f t="shared" si="4"/>
        <v>3.0556193780715857</v>
      </c>
      <c r="L28" s="1">
        <f t="shared" si="5"/>
        <v>0.11466666666666653</v>
      </c>
      <c r="M28" s="1">
        <f t="shared" si="0"/>
        <v>0.14636099449419038</v>
      </c>
      <c r="R28" s="1">
        <f t="shared" si="1"/>
        <v>5.014202900527885</v>
      </c>
      <c r="S28" s="1">
        <f t="shared" si="2"/>
        <v>0.10755555555555563</v>
      </c>
      <c r="T28" s="1">
        <f t="shared" si="3"/>
        <v>0.21954149174128573</v>
      </c>
    </row>
    <row r="29" spans="11:20" ht="15">
      <c r="K29" s="1">
        <f t="shared" si="4"/>
        <v>3.1936903477905423</v>
      </c>
      <c r="L29" s="1">
        <f t="shared" si="5"/>
        <v>0.11111111111111097</v>
      </c>
      <c r="M29" s="1">
        <f t="shared" si="0"/>
        <v>0.14636099449419038</v>
      </c>
      <c r="R29" s="1">
        <f t="shared" si="1"/>
        <v>4.790535521685803</v>
      </c>
      <c r="S29" s="1">
        <f t="shared" si="2"/>
        <v>0.11111111111111119</v>
      </c>
      <c r="T29" s="1">
        <f t="shared" si="3"/>
        <v>0.21954149174128576</v>
      </c>
    </row>
    <row r="30" spans="11:20" ht="15">
      <c r="K30" s="1">
        <f t="shared" si="4"/>
        <v>3.3428019336852617</v>
      </c>
      <c r="L30" s="1">
        <f t="shared" si="5"/>
        <v>0.1075555555555554</v>
      </c>
      <c r="M30" s="1">
        <f t="shared" si="0"/>
        <v>0.14636099449419038</v>
      </c>
      <c r="R30" s="1">
        <f t="shared" si="1"/>
        <v>4.58342906710737</v>
      </c>
      <c r="S30" s="1">
        <f t="shared" si="2"/>
        <v>0.11466666666666675</v>
      </c>
      <c r="T30" s="1">
        <f t="shared" si="3"/>
        <v>0.21954149174128573</v>
      </c>
    </row>
    <row r="31" spans="11:20" ht="15">
      <c r="K31" s="1">
        <f t="shared" si="4"/>
        <v>3.504247345066141</v>
      </c>
      <c r="L31" s="1">
        <f t="shared" si="5"/>
        <v>0.10399999999999984</v>
      </c>
      <c r="M31" s="1">
        <f t="shared" si="0"/>
        <v>0.14636099449419038</v>
      </c>
      <c r="R31" s="1">
        <f t="shared" si="1"/>
        <v>4.391199007048347</v>
      </c>
      <c r="S31" s="1">
        <f t="shared" si="2"/>
        <v>0.11822222222222231</v>
      </c>
      <c r="T31" s="1">
        <f t="shared" si="3"/>
        <v>0.21954149174128573</v>
      </c>
    </row>
    <row r="32" spans="11:20" ht="15">
      <c r="K32" s="1">
        <f t="shared" si="4"/>
        <v>3.6795227566937543</v>
      </c>
      <c r="L32" s="1">
        <f t="shared" si="5"/>
        <v>0.10044444444444428</v>
      </c>
      <c r="M32" s="1">
        <f t="shared" si="0"/>
        <v>0.14636099449419038</v>
      </c>
      <c r="R32" s="1">
        <f t="shared" si="1"/>
        <v>4.212376067394288</v>
      </c>
      <c r="S32" s="1">
        <f t="shared" si="2"/>
        <v>0.12177777777777787</v>
      </c>
      <c r="T32" s="1">
        <f t="shared" si="3"/>
        <v>0.21954149174128576</v>
      </c>
    </row>
    <row r="33" spans="11:20" ht="15">
      <c r="K33" s="1">
        <f t="shared" si="4"/>
        <v>3.8703678412992955</v>
      </c>
      <c r="L33" s="1">
        <f t="shared" si="5"/>
        <v>0.09688888888888872</v>
      </c>
      <c r="M33" s="1">
        <f t="shared" si="0"/>
        <v>0.14636099449419038</v>
      </c>
      <c r="R33" s="1">
        <f t="shared" si="1"/>
        <v>4.045673429244739</v>
      </c>
      <c r="S33" s="1">
        <f t="shared" si="2"/>
        <v>0.12533333333333344</v>
      </c>
      <c r="T33" s="1">
        <f t="shared" si="3"/>
        <v>0.21954149174128576</v>
      </c>
    </row>
    <row r="34" spans="11:20" ht="15">
      <c r="K34" s="1">
        <f t="shared" si="4"/>
        <v>4.078816262289943</v>
      </c>
      <c r="L34" s="1">
        <f t="shared" si="5"/>
        <v>0.09333333333333316</v>
      </c>
      <c r="M34" s="1">
        <f t="shared" si="0"/>
        <v>0.14636099449419038</v>
      </c>
      <c r="R34" s="1">
        <f t="shared" si="1"/>
        <v>3.889959689026174</v>
      </c>
      <c r="S34" s="1">
        <f t="shared" si="2"/>
        <v>0.128888888888889</v>
      </c>
      <c r="T34" s="1">
        <f t="shared" si="3"/>
        <v>0.21954149174128573</v>
      </c>
    </row>
    <row r="35" spans="11:20" ht="15">
      <c r="K35" s="1">
        <f t="shared" si="4"/>
        <v>4.307259069210792</v>
      </c>
      <c r="L35" s="1">
        <f t="shared" si="5"/>
        <v>0.0897777777777776</v>
      </c>
      <c r="M35" s="1">
        <f t="shared" si="0"/>
        <v>0.14636099449419038</v>
      </c>
      <c r="R35" s="1">
        <f t="shared" si="1"/>
        <v>3.7442364407014384</v>
      </c>
      <c r="S35" s="1">
        <f t="shared" si="2"/>
        <v>0.13244444444444456</v>
      </c>
      <c r="T35" s="1">
        <f t="shared" si="3"/>
        <v>0.21954149174128573</v>
      </c>
    </row>
    <row r="36" spans="11:20" ht="15">
      <c r="K36" s="1">
        <f t="shared" si="4"/>
        <v>4.558524966254146</v>
      </c>
      <c r="L36" s="1">
        <f t="shared" si="5"/>
        <v>0.08622222222222203</v>
      </c>
      <c r="M36" s="1">
        <f t="shared" si="0"/>
        <v>0.14636099449419038</v>
      </c>
      <c r="R36" s="1">
        <f t="shared" si="1"/>
        <v>3.6076195903726194</v>
      </c>
      <c r="S36" s="1">
        <f t="shared" si="2"/>
        <v>0.13600000000000012</v>
      </c>
      <c r="T36" s="1">
        <f t="shared" si="3"/>
        <v>0.21954149174128573</v>
      </c>
    </row>
    <row r="37" spans="11:20" ht="15">
      <c r="K37" s="1">
        <f t="shared" si="4"/>
        <v>4.835982870873197</v>
      </c>
      <c r="L37" s="1">
        <f t="shared" si="5"/>
        <v>0.08266666666666647</v>
      </c>
      <c r="M37" s="1">
        <f t="shared" si="0"/>
        <v>0.14636099449419038</v>
      </c>
      <c r="R37" s="1">
        <f aca="true" t="shared" si="6" ref="R37:R53">$T$4/(S37^$G$5)</f>
        <v>3.479323703035465</v>
      </c>
      <c r="S37" s="1">
        <f aca="true" t="shared" si="7" ref="S37:S53">(($S$54-$S$4)/50)+S36</f>
        <v>0.13955555555555568</v>
      </c>
      <c r="T37" s="1">
        <f t="shared" si="3"/>
        <v>0.21954149174128573</v>
      </c>
    </row>
    <row r="38" spans="11:20" ht="15">
      <c r="K38" s="1">
        <f t="shared" si="4"/>
        <v>5.143674242961091</v>
      </c>
      <c r="L38" s="1">
        <f t="shared" si="5"/>
        <v>0.07911111111111091</v>
      </c>
      <c r="M38" s="1">
        <f t="shared" si="0"/>
        <v>0.14636099449419038</v>
      </c>
      <c r="R38" s="1">
        <f t="shared" si="6"/>
        <v>3.358648826674421</v>
      </c>
      <c r="S38" s="1">
        <f t="shared" si="7"/>
        <v>0.14311111111111124</v>
      </c>
      <c r="T38" s="1">
        <f t="shared" si="3"/>
        <v>0.21954149174128573</v>
      </c>
    </row>
    <row r="39" spans="11:20" ht="15">
      <c r="K39" s="1">
        <f t="shared" si="4"/>
        <v>5.48648564965387</v>
      </c>
      <c r="L39" s="1">
        <f t="shared" si="5"/>
        <v>0.07555555555555535</v>
      </c>
      <c r="M39" s="1">
        <f t="shared" si="0"/>
        <v>0.14636099449419038</v>
      </c>
      <c r="R39" s="1">
        <f t="shared" si="6"/>
        <v>3.244969351335779</v>
      </c>
      <c r="S39" s="1">
        <f t="shared" si="7"/>
        <v>0.1466666666666668</v>
      </c>
      <c r="T39" s="1">
        <f t="shared" si="3"/>
        <v>0.21954149174128573</v>
      </c>
    </row>
    <row r="40" spans="11:20" ht="15">
      <c r="K40" s="1">
        <f t="shared" si="4"/>
        <v>5.870376414244494</v>
      </c>
      <c r="L40" s="1">
        <f t="shared" si="5"/>
        <v>0.07199999999999979</v>
      </c>
      <c r="M40" s="1">
        <f t="shared" si="0"/>
        <v>0.14636099449419038</v>
      </c>
      <c r="R40" s="1">
        <f t="shared" si="6"/>
        <v>3.137724548362747</v>
      </c>
      <c r="S40" s="1">
        <f t="shared" si="7"/>
        <v>0.15022222222222237</v>
      </c>
      <c r="T40" s="1">
        <f t="shared" si="3"/>
        <v>0.21954149174128573</v>
      </c>
    </row>
    <row r="41" spans="11:20" ht="15">
      <c r="K41" s="1">
        <f t="shared" si="4"/>
        <v>6.302682743267075</v>
      </c>
      <c r="L41" s="1">
        <f t="shared" si="5"/>
        <v>0.06844444444444422</v>
      </c>
      <c r="M41" s="1">
        <f t="shared" si="0"/>
        <v>0.14636099449419038</v>
      </c>
      <c r="R41" s="1">
        <f t="shared" si="6"/>
        <v>3.0364105035812528</v>
      </c>
      <c r="S41" s="1">
        <f t="shared" si="7"/>
        <v>0.15377777777777793</v>
      </c>
      <c r="T41" s="1">
        <f t="shared" si="3"/>
        <v>0.21954149174128576</v>
      </c>
    </row>
    <row r="42" spans="11:20" ht="15">
      <c r="K42" s="1">
        <f t="shared" si="4"/>
        <v>6.792529678624235</v>
      </c>
      <c r="L42" s="1">
        <f t="shared" si="5"/>
        <v>0.06488888888888866</v>
      </c>
      <c r="M42" s="1">
        <f t="shared" si="0"/>
        <v>0.14636099449419038</v>
      </c>
      <c r="R42" s="1">
        <f t="shared" si="6"/>
        <v>2.9405732123206967</v>
      </c>
      <c r="S42" s="1">
        <f t="shared" si="7"/>
        <v>0.1573333333333335</v>
      </c>
      <c r="T42" s="1">
        <f t="shared" si="3"/>
        <v>0.21954149174128573</v>
      </c>
    </row>
    <row r="43" spans="11:20" ht="15">
      <c r="K43" s="1">
        <f t="shared" si="4"/>
        <v>7.351397658673337</v>
      </c>
      <c r="L43" s="1">
        <f t="shared" si="5"/>
        <v>0.06133333333333311</v>
      </c>
      <c r="M43" s="1">
        <f t="shared" si="0"/>
        <v>0.14636099449419038</v>
      </c>
      <c r="R43" s="1">
        <f t="shared" si="6"/>
        <v>2.8498026470602196</v>
      </c>
      <c r="S43" s="1">
        <f t="shared" si="7"/>
        <v>0.16088888888888905</v>
      </c>
      <c r="T43" s="1">
        <f t="shared" si="3"/>
        <v>0.21954149174128573</v>
      </c>
    </row>
    <row r="44" spans="11:20" ht="15">
      <c r="K44" s="1">
        <f t="shared" si="4"/>
        <v>7.993914944434558</v>
      </c>
      <c r="L44" s="1">
        <f t="shared" si="5"/>
        <v>0.05777777777777755</v>
      </c>
      <c r="M44" s="1">
        <f t="shared" si="0"/>
        <v>0.14636099449419038</v>
      </c>
      <c r="R44" s="1">
        <f t="shared" si="6"/>
        <v>2.763727642713335</v>
      </c>
      <c r="S44" s="1">
        <f t="shared" si="7"/>
        <v>0.16444444444444462</v>
      </c>
      <c r="T44" s="1">
        <f t="shared" si="3"/>
        <v>0.21954149174128573</v>
      </c>
    </row>
    <row r="45" spans="11:20" ht="15">
      <c r="K45" s="1">
        <f t="shared" si="4"/>
        <v>8.73898691261933</v>
      </c>
      <c r="L45" s="1">
        <f t="shared" si="5"/>
        <v>0.054222222222222</v>
      </c>
      <c r="M45" s="1">
        <f t="shared" si="0"/>
        <v>0.14636099449419038</v>
      </c>
      <c r="R45" s="1">
        <f t="shared" si="6"/>
        <v>2.6820114720059394</v>
      </c>
      <c r="S45" s="1">
        <f t="shared" si="7"/>
        <v>0.16800000000000018</v>
      </c>
      <c r="T45" s="1">
        <f t="shared" si="3"/>
        <v>0.21954149174128573</v>
      </c>
    </row>
    <row r="46" spans="11:20" ht="15">
      <c r="K46" s="1">
        <f t="shared" si="4"/>
        <v>9.611439529731221</v>
      </c>
      <c r="L46" s="1">
        <f t="shared" si="5"/>
        <v>0.05066666666666644</v>
      </c>
      <c r="M46" s="1">
        <f t="shared" si="0"/>
        <v>0.14636099449419038</v>
      </c>
      <c r="R46" s="1">
        <f t="shared" si="6"/>
        <v>2.604348005519804</v>
      </c>
      <c r="S46" s="1">
        <f t="shared" si="7"/>
        <v>0.17155555555555574</v>
      </c>
      <c r="T46" s="1">
        <f t="shared" si="3"/>
        <v>0.21954149174128573</v>
      </c>
    </row>
    <row r="47" spans="11:20" ht="15">
      <c r="K47" s="1">
        <f t="shared" si="4"/>
        <v>10.644468347162443</v>
      </c>
      <c r="L47" s="1">
        <f t="shared" si="5"/>
        <v>0.04711111111111089</v>
      </c>
      <c r="M47" s="1">
        <f t="shared" si="0"/>
        <v>0.14636099449419038</v>
      </c>
      <c r="R47" s="1">
        <f t="shared" si="6"/>
        <v>2.5304583688859936</v>
      </c>
      <c r="S47" s="1">
        <f t="shared" si="7"/>
        <v>0.1751111111111113</v>
      </c>
      <c r="T47" s="1">
        <f t="shared" si="3"/>
        <v>0.21954149174128573</v>
      </c>
    </row>
    <row r="48" spans="11:20" ht="15">
      <c r="K48" s="1">
        <f t="shared" si="4"/>
        <v>11.883387215372105</v>
      </c>
      <c r="L48" s="1">
        <f t="shared" si="5"/>
        <v>0.043555555555555334</v>
      </c>
      <c r="M48" s="1">
        <f t="shared" si="0"/>
        <v>0.14636099449419038</v>
      </c>
      <c r="R48" s="1">
        <f t="shared" si="6"/>
        <v>2.4600880241870797</v>
      </c>
      <c r="S48" s="1">
        <f t="shared" si="7"/>
        <v>0.17866666666666686</v>
      </c>
      <c r="T48" s="1">
        <f t="shared" si="3"/>
        <v>0.21954149174128573</v>
      </c>
    </row>
    <row r="49" spans="11:20" ht="15">
      <c r="K49" s="1">
        <f t="shared" si="4"/>
        <v>13.391546065764233</v>
      </c>
      <c r="L49" s="1">
        <f t="shared" si="5"/>
        <v>0.03999999999999978</v>
      </c>
      <c r="M49" s="1">
        <f t="shared" si="0"/>
        <v>0.14636099449419038</v>
      </c>
      <c r="R49" s="1">
        <f t="shared" si="6"/>
        <v>2.393004214538155</v>
      </c>
      <c r="S49" s="1">
        <f t="shared" si="7"/>
        <v>0.18222222222222242</v>
      </c>
      <c r="T49" s="1">
        <f t="shared" si="3"/>
        <v>0.21954149174128573</v>
      </c>
    </row>
    <row r="50" spans="11:20" ht="15">
      <c r="K50" s="1">
        <f t="shared" si="4"/>
        <v>15.260012464074148</v>
      </c>
      <c r="L50" s="1">
        <f t="shared" si="5"/>
        <v>0.036444444444444224</v>
      </c>
      <c r="M50" s="1">
        <f t="shared" si="0"/>
        <v>0.14636099449419038</v>
      </c>
      <c r="R50" s="1">
        <f t="shared" si="6"/>
        <v>2.328993720592868</v>
      </c>
      <c r="S50" s="1">
        <f t="shared" si="7"/>
        <v>0.18577777777777799</v>
      </c>
      <c r="T50" s="1">
        <f t="shared" si="3"/>
        <v>0.21954149174128573</v>
      </c>
    </row>
    <row r="51" spans="11:20" ht="15">
      <c r="K51" s="1">
        <f t="shared" si="4"/>
        <v>17.62408859077223</v>
      </c>
      <c r="L51" s="1">
        <f t="shared" si="5"/>
        <v>0.03288888888888867</v>
      </c>
      <c r="M51" s="1">
        <f t="shared" si="0"/>
        <v>0.14636099449419038</v>
      </c>
      <c r="R51" s="1">
        <f t="shared" si="6"/>
        <v>2.267860885777271</v>
      </c>
      <c r="S51" s="1">
        <f t="shared" si="7"/>
        <v>0.18933333333333355</v>
      </c>
      <c r="T51" s="1">
        <f t="shared" si="3"/>
        <v>0.21954149174128576</v>
      </c>
    </row>
    <row r="52" spans="11:20" ht="15">
      <c r="K52" s="1">
        <f t="shared" si="4"/>
        <v>20.692931690669678</v>
      </c>
      <c r="L52" s="1">
        <f t="shared" si="5"/>
        <v>0.029333333333333114</v>
      </c>
      <c r="M52" s="1">
        <f t="shared" si="0"/>
        <v>0.14636099449419038</v>
      </c>
      <c r="R52" s="1">
        <f t="shared" si="6"/>
        <v>2.2094258737197823</v>
      </c>
      <c r="S52" s="1">
        <f t="shared" si="7"/>
        <v>0.1928888888888891</v>
      </c>
      <c r="T52" s="1">
        <f t="shared" si="3"/>
        <v>0.21954149174128576</v>
      </c>
    </row>
    <row r="53" spans="11:20" ht="15">
      <c r="K53" s="1">
        <f t="shared" si="4"/>
        <v>24.80598779502865</v>
      </c>
      <c r="L53" s="1">
        <f t="shared" si="5"/>
        <v>0.02577777777777756</v>
      </c>
      <c r="M53" s="1">
        <f t="shared" si="0"/>
        <v>0.14636099449419038</v>
      </c>
      <c r="R53" s="1">
        <f t="shared" si="6"/>
        <v>2.1535231268809314</v>
      </c>
      <c r="S53" s="1">
        <f t="shared" si="7"/>
        <v>0.19644444444444467</v>
      </c>
      <c r="T53" s="1">
        <f t="shared" si="3"/>
        <v>0.2195414917412857</v>
      </c>
    </row>
    <row r="54" spans="11:20" ht="15">
      <c r="K54" s="1">
        <f>K4*C8^G5</f>
        <v>30.54889386587373</v>
      </c>
      <c r="L54" s="1">
        <f>C6/C8</f>
        <v>0.022222222222222223</v>
      </c>
      <c r="M54" s="1">
        <f>K54*L54^$G$5</f>
        <v>0.1463609944941905</v>
      </c>
      <c r="R54" s="1">
        <f>R4*(S4/S54)^G5</f>
        <v>2.0999999999999996</v>
      </c>
      <c r="S54" s="1">
        <f>L4</f>
        <v>0.2</v>
      </c>
      <c r="T54" s="1">
        <f>R54*S54^$G$5</f>
        <v>0.21954149174128554</v>
      </c>
    </row>
    <row r="55" spans="11:22" ht="15"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1:22" ht="15"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1:22" ht="15"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1:22" ht="15"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1:22" ht="15"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1:22" ht="15"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1:22" ht="15"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1:22" ht="15"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1:22" ht="15"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1:22" ht="15"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1:22" ht="15"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1:22" ht="15"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1:22" ht="15"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1:22" ht="15"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1:22" ht="15"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1:22" ht="15"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1:22" ht="15"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1:22" ht="15"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1:22" ht="15"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1:22" ht="15"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1:22" ht="15"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</sheetData>
  <sheetProtection algorithmName="SHA-512" hashValue="8rofCbkypL4+lvEz2pK4tM57j6MPAdKgKljhSTWgDjwiOORgn3MfsGFRUnN1kSkjv27N+OvrBndv9PvLr4ZN+w==" saltValue="8PlgKQOOm8OPiiUey706Ww==" spinCount="100000" sheet="1" objects="1" scenarios="1"/>
  <mergeCells count="7">
    <mergeCell ref="R2:T2"/>
    <mergeCell ref="V2:W2"/>
    <mergeCell ref="B11:D11"/>
    <mergeCell ref="B2:D2"/>
    <mergeCell ref="F2:H2"/>
    <mergeCell ref="K2:M2"/>
    <mergeCell ref="O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Koster</dc:creator>
  <cp:keywords/>
  <dc:description/>
  <cp:lastModifiedBy>Gebruiker</cp:lastModifiedBy>
  <dcterms:created xsi:type="dcterms:W3CDTF">2013-09-03T19:15:53Z</dcterms:created>
  <dcterms:modified xsi:type="dcterms:W3CDTF">2020-12-16T10:41:11Z</dcterms:modified>
  <cp:category/>
  <cp:version/>
  <cp:contentType/>
  <cp:contentStatus/>
</cp:coreProperties>
</file>